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tagnetv\Dropbox\VOLETS-ROLLER\doc PDF\doc battant\"/>
    </mc:Choice>
  </mc:AlternateContent>
  <xr:revisionPtr revIDLastSave="0" documentId="13_ncr:1_{68023B5D-F152-44AD-96A3-D4E32D0356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L42" i="1"/>
  <c r="L35" i="1"/>
  <c r="L41" i="1"/>
  <c r="L34" i="1"/>
  <c r="L28" i="1"/>
  <c r="L27" i="1"/>
  <c r="L25" i="1"/>
  <c r="J12" i="1"/>
  <c r="E12" i="1" l="1"/>
  <c r="I27" i="1" l="1"/>
  <c r="I26" i="1"/>
  <c r="D12" i="1"/>
  <c r="I34" i="1" l="1"/>
  <c r="I33" i="1"/>
  <c r="I32" i="1"/>
  <c r="I18" i="1"/>
  <c r="G12" i="1" l="1"/>
  <c r="A23" i="1"/>
  <c r="D25" i="1"/>
  <c r="D26" i="1" s="1"/>
  <c r="C25" i="1"/>
  <c r="D24" i="1"/>
  <c r="D14" i="1"/>
  <c r="D13" i="1"/>
  <c r="C24" i="1"/>
  <c r="D19" i="1"/>
  <c r="C15" i="1"/>
  <c r="C13" i="1"/>
  <c r="L13" i="1" s="1"/>
  <c r="C14" i="1"/>
  <c r="C12" i="1"/>
  <c r="K12" i="1" s="1"/>
  <c r="L12" i="1" l="1"/>
  <c r="L14" i="1"/>
  <c r="L24" i="1"/>
  <c r="D15" i="1"/>
  <c r="L15" i="1" s="1"/>
  <c r="C26" i="1"/>
  <c r="L26" i="1" s="1"/>
  <c r="C32" i="1"/>
  <c r="I39" i="1"/>
  <c r="I41" i="1"/>
  <c r="I40" i="1"/>
  <c r="C20" i="1"/>
  <c r="D32" i="1"/>
  <c r="D39" i="1"/>
  <c r="C27" i="1" l="1"/>
  <c r="C39" i="1"/>
  <c r="C40" i="1" s="1"/>
  <c r="L40" i="1" s="1"/>
  <c r="C34" i="1"/>
  <c r="C35" i="1" s="1"/>
  <c r="C21" i="1"/>
  <c r="C33" i="1"/>
  <c r="L33" i="1" s="1"/>
  <c r="L32" i="1"/>
  <c r="D33" i="1"/>
  <c r="D40" i="1"/>
  <c r="C41" i="1" l="1"/>
  <c r="L39" i="1"/>
  <c r="C28" i="1"/>
  <c r="L30" i="1" s="1"/>
  <c r="L37" i="1"/>
  <c r="C42" i="1" l="1"/>
  <c r="L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rollersa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rollersa: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<sst xmlns="http://schemas.openxmlformats.org/spreadsheetml/2006/main" count="88" uniqueCount="54">
  <si>
    <t>Largeur</t>
  </si>
  <si>
    <t>Hauteur</t>
  </si>
  <si>
    <t>Nombre de battants</t>
  </si>
  <si>
    <t>Modèle espagnolette</t>
  </si>
  <si>
    <t>Largeur (en mm)</t>
  </si>
  <si>
    <t>Hauteur (en mm)</t>
  </si>
  <si>
    <t>info</t>
  </si>
  <si>
    <t xml:space="preserve">Nombre de profils U </t>
  </si>
  <si>
    <t xml:space="preserve">Nombre de panneaux PVC </t>
  </si>
  <si>
    <t>Saisir cellules jaunes pour les caractéristiques de votre volet battant</t>
  </si>
  <si>
    <t>Modèle de volet</t>
  </si>
  <si>
    <t>Barre et écharpe</t>
  </si>
  <si>
    <t>Penture contre penture</t>
  </si>
  <si>
    <t>Standard</t>
  </si>
  <si>
    <t>Assemblage Espagnolette</t>
  </si>
  <si>
    <t>Lien de commande</t>
  </si>
  <si>
    <t>Romantique</t>
  </si>
  <si>
    <t>1 sachet pour poignée</t>
  </si>
  <si>
    <t>Assemblage du volet avec panneaux PVC</t>
  </si>
  <si>
    <t>(découpe mini de 1000)</t>
  </si>
  <si>
    <t>barres PVC</t>
  </si>
  <si>
    <t>mm</t>
  </si>
  <si>
    <t>Echarpe</t>
  </si>
  <si>
    <t>Penture</t>
  </si>
  <si>
    <t>Contre penture</t>
  </si>
  <si>
    <t>Couleur quincaillerie</t>
  </si>
  <si>
    <t>Blanc</t>
  </si>
  <si>
    <t>Noir</t>
  </si>
  <si>
    <t>Déport de votre gond</t>
  </si>
  <si>
    <t>écrous</t>
  </si>
  <si>
    <t>http://www.volet-system.com/art-profil-u-pvc-blanc-20x24x20-2893.htm </t>
  </si>
  <si>
    <t>Nombre à commander</t>
  </si>
  <si>
    <t>http://www.volet-system.com/art-profil-battement-pvc-blanc-20x24x20-2894.htm</t>
  </si>
  <si>
    <t>http://www.volet-system.com/art-barre-pvc-alveolaire-blanc-80x28-2891.htm</t>
  </si>
  <si>
    <t>http://www.volet-system.com/art-echarpe-pvc-alveolaire-blanc-75x24-2892.htm</t>
  </si>
  <si>
    <t>http://www.volet-system.com/art-tube-aluminium-rainure-pour-espagnolette-2901.htm</t>
  </si>
  <si>
    <t>http://www.volet-system.com/art-collier-standard-aluminium-pour-espagnolette-2925.htm</t>
  </si>
  <si>
    <t>http://www.volet-system.com/art-visses-inox-pour-la-fixation-des-colliers-d-espagnolette-2905.htm</t>
  </si>
  <si>
    <t>http://www.volet-system.com/art-ecrou-composite-pour-assemblage-volet-battant-2908.htm</t>
  </si>
  <si>
    <t>Montage Penture contre penture Déport 60</t>
  </si>
  <si>
    <t>Montage Penture contre penture Déport 80</t>
  </si>
  <si>
    <t>SOUS TOTAL OPTION BARRE ECHARPE</t>
  </si>
  <si>
    <t>SOUS TOTAL OPTION PENTURE CONTRE PENTURE DEPORT 60</t>
  </si>
  <si>
    <t>SOUS TOTAL OPTION PENTURE CONTRE PENTURE DEPORT 80</t>
  </si>
  <si>
    <t>TARIF INDICATIF</t>
  </si>
  <si>
    <t>profil de battement (avec embouts)</t>
  </si>
  <si>
    <t>Contre penture (prix indicatif a definir selon longueur)</t>
  </si>
  <si>
    <t>vis TRCC</t>
  </si>
  <si>
    <t>Longueur</t>
  </si>
  <si>
    <t>Penture  (prix indicatif a definir selon longueur)</t>
  </si>
  <si>
    <t>Contre penture  (prix indicatif a definir selon longueur)</t>
  </si>
  <si>
    <t xml:space="preserve">vis pour la fixation des colliers </t>
  </si>
  <si>
    <t>1 tube aluminium</t>
  </si>
  <si>
    <t>colliers standards pour d'espagnolette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</si>
</sst>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3" fillId="0" borderId="0" xfId="1"/>
    <xf numFmtId="0" fontId="0" fillId="0" borderId="0" xfId="0" applyAlignment="1">
      <alignment horizontal="right"/>
    </xf>
    <xf numFmtId="1" fontId="0" fillId="0" borderId="0" xfId="0" applyNumberForma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1" fontId="5" fillId="0" borderId="0" xfId="0" applyNumberFormat="1" applyFont="1"/>
    <xf numFmtId="0" fontId="6" fillId="0" borderId="0" xfId="0" applyFont="1"/>
    <xf numFmtId="0" fontId="2" fillId="0" borderId="0" xfId="0" applyFont="1"/>
    <xf numFmtId="1" fontId="0" fillId="0" borderId="0" xfId="0" applyNumberFormat="1" applyFont="1"/>
    <xf numFmtId="0" fontId="0" fillId="0" borderId="0" xfId="0" applyFon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2" borderId="0" xfId="0" applyFill="1"/>
    <xf numFmtId="0" fontId="4" fillId="2" borderId="0" xfId="0" applyFont="1" applyFill="1"/>
    <xf numFmtId="0" fontId="1" fillId="2" borderId="0" xfId="0" applyFont="1" applyFill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0" fillId="2" borderId="0" xfId="0" applyFill="1" applyProtection="1">
      <protection locked="0"/>
    </xf>
    <xf numFmtId="0" fontId="1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10" fillId="0" borderId="0" xfId="0" applyFont="1"/>
    <xf numFmtId="0" fontId="9" fillId="0" borderId="0" xfId="0" applyFont="1" applyProtection="1">
      <protection hidden="1"/>
    </xf>
    <xf numFmtId="0" fontId="11" fillId="0" borderId="0" xfId="0" applyFont="1"/>
    <xf numFmtId="0" fontId="9" fillId="0" borderId="0" xfId="0" applyFont="1"/>
    <xf numFmtId="2" fontId="9" fillId="0" borderId="0" xfId="0" applyNumberFormat="1" applyFont="1" applyProtection="1">
      <protection hidden="1"/>
    </xf>
    <xf numFmtId="2" fontId="11" fillId="0" borderId="0" xfId="0" applyNumberFormat="1" applyFont="1"/>
    <xf numFmtId="2" fontId="10" fillId="0" borderId="0" xfId="0" applyNumberFormat="1" applyFont="1"/>
    <xf numFmtId="2" fontId="9" fillId="0" borderId="0" xfId="0" applyNumberFormat="1" applyFont="1"/>
    <xf numFmtId="2" fontId="10" fillId="0" borderId="0" xfId="0" applyNumberFormat="1" applyFont="1" applyAlignment="1">
      <alignment horizontal="center"/>
    </xf>
    <xf numFmtId="0" fontId="12" fillId="0" borderId="0" xfId="0" applyFont="1"/>
    <xf numFmtId="1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2" fontId="14" fillId="0" borderId="0" xfId="0" applyNumberFormat="1" applyFont="1"/>
  </cellXfs>
  <cellStyles count="2">
    <cellStyle name="Lien hypertexte" xfId="1" builtinId="8"/>
    <cellStyle name="Normal" xfId="0" builtinId="0"/>
  </cellStyles>
  <dxfs count="7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481853</xdr:colOff>
      <xdr:row>0</xdr:row>
      <xdr:rowOff>134470</xdr:rowOff>
    </xdr:from>
    <xdr:to>
      <xdr:col>8</xdr:col>
      <xdr:colOff>4473949</xdr:colOff>
      <xdr:row>8</xdr:row>
      <xdr:rowOff>156882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925235" y="134470"/>
          <a:ext cx="5079067" cy="16360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2000" b="1">
              <a:solidFill>
                <a:schemeClr val="accent1">
                  <a:lumMod val="75000"/>
                </a:schemeClr>
              </a:solidFill>
              <a:latin typeface="Kartika" panose="02020503030404060203" pitchFamily="18" charset="0"/>
              <a:cs typeface="Kartika" panose="02020503030404060203" pitchFamily="18" charset="0"/>
            </a:rPr>
            <a:t>Cette feuille vous permet d'</a:t>
          </a:r>
          <a:r>
            <a:rPr lang="fr-FR" sz="2000" b="1" u="sng">
              <a:solidFill>
                <a:schemeClr val="accent1">
                  <a:lumMod val="75000"/>
                </a:schemeClr>
              </a:solidFill>
              <a:latin typeface="Kartika" panose="02020503030404060203" pitchFamily="18" charset="0"/>
              <a:cs typeface="Kartika" panose="02020503030404060203" pitchFamily="18" charset="0"/>
            </a:rPr>
            <a:t>évaluer</a:t>
          </a:r>
          <a:r>
            <a:rPr lang="fr-FR" sz="2000" b="1">
              <a:solidFill>
                <a:schemeClr val="accent1">
                  <a:lumMod val="75000"/>
                </a:schemeClr>
              </a:solidFill>
              <a:latin typeface="Kartika" panose="02020503030404060203" pitchFamily="18" charset="0"/>
              <a:cs typeface="Kartika" panose="02020503030404060203" pitchFamily="18" charset="0"/>
            </a:rPr>
            <a:t> les quantités de matériel necessaires à  la fabrication de vos volets. </a:t>
          </a:r>
          <a:br>
            <a:rPr lang="fr-FR" sz="2000" b="1">
              <a:solidFill>
                <a:schemeClr val="accent1">
                  <a:lumMod val="75000"/>
                </a:schemeClr>
              </a:solidFill>
              <a:latin typeface="Kartika" panose="02020503030404060203" pitchFamily="18" charset="0"/>
              <a:cs typeface="Kartika" panose="02020503030404060203" pitchFamily="18" charset="0"/>
            </a:rPr>
          </a:br>
          <a:r>
            <a:rPr lang="fr-FR" sz="1200" b="0">
              <a:solidFill>
                <a:schemeClr val="accent1">
                  <a:lumMod val="75000"/>
                </a:schemeClr>
              </a:solidFill>
              <a:latin typeface="Kartika" panose="02020503030404060203" pitchFamily="18" charset="0"/>
              <a:cs typeface="Kartika" panose="02020503030404060203" pitchFamily="18" charset="0"/>
            </a:rPr>
            <a:t>Vous</a:t>
          </a:r>
          <a:r>
            <a:rPr lang="fr-FR" sz="1200" b="0" baseline="0">
              <a:solidFill>
                <a:schemeClr val="accent1">
                  <a:lumMod val="75000"/>
                </a:schemeClr>
              </a:solidFill>
              <a:latin typeface="Kartika" panose="02020503030404060203" pitchFamily="18" charset="0"/>
              <a:cs typeface="Kartika" panose="02020503030404060203" pitchFamily="18" charset="0"/>
            </a:rPr>
            <a:t> restez responsable des achats du votre kit.</a:t>
          </a:r>
          <a:endParaRPr lang="fr-FR" sz="1200" b="0">
            <a:solidFill>
              <a:schemeClr val="accent1">
                <a:lumMod val="75000"/>
              </a:schemeClr>
            </a:solidFill>
            <a:latin typeface="Kartika" panose="02020503030404060203" pitchFamily="18" charset="0"/>
            <a:cs typeface="Kartika" panose="02020503030404060203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volet-system.com/art-collier-standard-aluminium-pour-espagnolette-2925.ht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volet-system.com/art-profil-u-pvc-blanc-20x24x20-2893.htm?utm_source=doc&amp;utm_medium=excel&amp;utm_campaign=battantkit" TargetMode="External"/><Relationship Id="rId7" Type="http://schemas.openxmlformats.org/officeDocument/2006/relationships/hyperlink" Target="http://www.volet-system.com/art-tube-aluminium-rainure-pour-espagnolette-2901.htm" TargetMode="External"/><Relationship Id="rId12" Type="http://schemas.openxmlformats.org/officeDocument/2006/relationships/hyperlink" Target="http://www.volet-system.com/art-ecrou-composite-pour-assemblage-volet-battant-2908.htm?utm_source=doc&amp;utm_medium=excel&amp;utm_campaign=battantkit" TargetMode="External"/><Relationship Id="rId2" Type="http://schemas.openxmlformats.org/officeDocument/2006/relationships/hyperlink" Target="http://www.volet-system.com/art-profil-u-pvc-blanc-20x24x20-2893.htm?utm_source=doc&amp;utm_medium=excel&amp;utm_campaign=battantkit" TargetMode="External"/><Relationship Id="rId16" Type="http://schemas.openxmlformats.org/officeDocument/2006/relationships/comments" Target="../comments1.xml"/><Relationship Id="rId1" Type="http://schemas.openxmlformats.org/officeDocument/2006/relationships/hyperlink" Target="http://www.volet-system.com/art-profil-u-pvc-blanc-20x24x20-2893.htm?utm_source=doc&amp;utm_medium=excel&amp;utm_campaign=battantkit" TargetMode="External"/><Relationship Id="rId6" Type="http://schemas.openxmlformats.org/officeDocument/2006/relationships/hyperlink" Target="http://www.volet-system.com/art-echarpe-pvc-alveolaire-blanc-75x24-2892.htm?utm_source=doc&amp;utm_medium=excel&amp;utm_campaign=battantkit" TargetMode="External"/><Relationship Id="rId11" Type="http://schemas.openxmlformats.org/officeDocument/2006/relationships/hyperlink" Target="http://www.volet-system.com/art-ecrou-composite-pour-assemblage-volet-battant-2908.htm?utm_source=doc&amp;utm_medium=excel&amp;utm_campaign=battantkit" TargetMode="External"/><Relationship Id="rId5" Type="http://schemas.openxmlformats.org/officeDocument/2006/relationships/hyperlink" Target="http://www.volet-system.com/art-profil-battement-pvc-blanc-20x24x20-2894.htm?utm_source=doc&amp;utm_medium=excel&amp;utm_campaign=battantkit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://www.volet-system.com/art-ecrou-composite-pour-assemblage-volet-battant-2908.htm?utm_source=doc&amp;utm_medium=excel&amp;utm_campaign=battantkit" TargetMode="External"/><Relationship Id="rId4" Type="http://schemas.openxmlformats.org/officeDocument/2006/relationships/hyperlink" Target="http://www.volet-system.com/art-barre-pvc-alveolaire-blanc-80x28-2891.htm?utm_source=doc&amp;utm_medium=excel&amp;utm_campaign=battantkit" TargetMode="External"/><Relationship Id="rId9" Type="http://schemas.openxmlformats.org/officeDocument/2006/relationships/hyperlink" Target="http://www.volet-system.com/art-visses-inox-pour-la-fixation-des-colliers-d-espagnolette-2905.htm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zoomScale="85" zoomScaleNormal="85" workbookViewId="0">
      <selection activeCell="L21" sqref="L21"/>
    </sheetView>
  </sheetViews>
  <sheetFormatPr baseColWidth="10" defaultRowHeight="15" x14ac:dyDescent="0.25"/>
  <cols>
    <col min="1" max="1" width="53" customWidth="1"/>
    <col min="2" max="2" width="10.140625" style="4" customWidth="1"/>
    <col min="3" max="3" width="7.42578125" customWidth="1"/>
    <col min="4" max="4" width="9.140625" style="2" customWidth="1"/>
    <col min="5" max="5" width="5.7109375" style="14" customWidth="1"/>
    <col min="6" max="6" width="11.42578125" style="4"/>
    <col min="8" max="8" width="4.85546875" customWidth="1"/>
    <col min="9" max="9" width="67.140625" customWidth="1"/>
    <col min="10" max="10" width="11.42578125" style="11"/>
    <col min="11" max="11" width="11.42578125" style="32"/>
    <col min="12" max="12" width="11.42578125" style="36"/>
    <col min="13" max="15" width="11.42578125" style="11"/>
  </cols>
  <sheetData>
    <row r="1" spans="1:17" ht="23.25" customHeight="1" x14ac:dyDescent="0.3">
      <c r="A1" s="20" t="s">
        <v>9</v>
      </c>
      <c r="B1" s="21"/>
      <c r="C1" s="19"/>
      <c r="D1" s="22"/>
      <c r="E1" s="23"/>
      <c r="F1" s="25"/>
      <c r="G1" s="26"/>
      <c r="H1" s="26"/>
      <c r="I1" s="26"/>
      <c r="J1" s="27" t="s">
        <v>6</v>
      </c>
      <c r="K1" s="30"/>
      <c r="L1" s="33"/>
      <c r="M1" s="27"/>
      <c r="N1" s="27"/>
      <c r="O1" s="27"/>
      <c r="P1" s="26"/>
      <c r="Q1" s="26"/>
    </row>
    <row r="2" spans="1:17" ht="14.25" customHeight="1" x14ac:dyDescent="0.3">
      <c r="A2" s="6"/>
      <c r="F2" s="28"/>
      <c r="G2" s="26"/>
      <c r="H2" s="26"/>
      <c r="I2" s="26"/>
      <c r="J2" s="27"/>
      <c r="K2" s="30"/>
      <c r="L2" s="33"/>
      <c r="M2" s="27"/>
      <c r="N2" s="27"/>
      <c r="O2" s="27"/>
      <c r="P2" s="26"/>
      <c r="Q2" s="26"/>
    </row>
    <row r="3" spans="1:17" x14ac:dyDescent="0.25">
      <c r="A3" t="s">
        <v>4</v>
      </c>
      <c r="C3" s="24">
        <v>600</v>
      </c>
      <c r="F3" s="28"/>
      <c r="G3" s="26"/>
      <c r="H3" s="26"/>
      <c r="I3" s="26"/>
      <c r="J3" s="27"/>
      <c r="K3" s="30"/>
      <c r="L3" s="33"/>
      <c r="M3" s="27"/>
      <c r="N3" s="27"/>
      <c r="O3" s="27"/>
      <c r="P3" s="26"/>
      <c r="Q3" s="26"/>
    </row>
    <row r="4" spans="1:17" x14ac:dyDescent="0.25">
      <c r="A4" t="s">
        <v>5</v>
      </c>
      <c r="C4" s="24">
        <v>1000</v>
      </c>
      <c r="F4" s="28"/>
      <c r="G4" s="26"/>
      <c r="H4" s="26"/>
      <c r="I4" s="26"/>
      <c r="J4" s="27"/>
      <c r="K4" s="30"/>
      <c r="L4" s="33"/>
      <c r="M4" s="27"/>
      <c r="N4" s="27"/>
      <c r="O4" s="27"/>
      <c r="P4" s="26"/>
      <c r="Q4" s="26"/>
    </row>
    <row r="5" spans="1:17" x14ac:dyDescent="0.25">
      <c r="A5" t="s">
        <v>2</v>
      </c>
      <c r="C5" s="24">
        <v>2</v>
      </c>
      <c r="F5" s="28"/>
      <c r="G5" s="26"/>
      <c r="H5" s="26"/>
      <c r="I5" s="26"/>
      <c r="J5" s="27">
        <v>1</v>
      </c>
      <c r="K5" s="30" t="s">
        <v>11</v>
      </c>
      <c r="L5" s="33" t="s">
        <v>13</v>
      </c>
      <c r="M5" s="27" t="s">
        <v>26</v>
      </c>
      <c r="N5" s="27">
        <v>60</v>
      </c>
      <c r="O5" s="27"/>
      <c r="P5" s="26"/>
      <c r="Q5" s="26"/>
    </row>
    <row r="6" spans="1:17" x14ac:dyDescent="0.25">
      <c r="A6" t="s">
        <v>3</v>
      </c>
      <c r="C6" s="24" t="s">
        <v>13</v>
      </c>
      <c r="F6" s="28"/>
      <c r="G6" s="26"/>
      <c r="H6" s="26"/>
      <c r="I6" s="26"/>
      <c r="J6" s="27">
        <v>2</v>
      </c>
      <c r="K6" s="30" t="s">
        <v>12</v>
      </c>
      <c r="L6" s="33" t="s">
        <v>16</v>
      </c>
      <c r="M6" s="27" t="s">
        <v>27</v>
      </c>
      <c r="N6" s="27">
        <v>80</v>
      </c>
      <c r="O6" s="27"/>
      <c r="P6" s="26"/>
      <c r="Q6" s="26"/>
    </row>
    <row r="7" spans="1:17" x14ac:dyDescent="0.25">
      <c r="A7" t="s">
        <v>10</v>
      </c>
      <c r="C7" s="24" t="s">
        <v>11</v>
      </c>
      <c r="F7" s="28"/>
      <c r="G7" s="26"/>
      <c r="H7" s="26"/>
      <c r="I7" s="26"/>
      <c r="J7" s="27"/>
      <c r="K7" s="30"/>
      <c r="L7" s="33"/>
      <c r="M7" s="27"/>
      <c r="N7" s="27"/>
      <c r="O7" s="27"/>
      <c r="P7" s="26"/>
      <c r="Q7" s="26"/>
    </row>
    <row r="8" spans="1:17" x14ac:dyDescent="0.25">
      <c r="A8" t="s">
        <v>25</v>
      </c>
      <c r="C8" s="24" t="s">
        <v>26</v>
      </c>
      <c r="F8" s="28"/>
      <c r="G8" s="26"/>
      <c r="H8" s="26"/>
      <c r="I8" s="26"/>
      <c r="J8" s="27"/>
      <c r="K8" s="30"/>
      <c r="L8" s="33"/>
      <c r="M8" s="27"/>
      <c r="N8" s="27"/>
      <c r="O8" s="27"/>
      <c r="P8" s="26"/>
      <c r="Q8" s="26"/>
    </row>
    <row r="9" spans="1:17" x14ac:dyDescent="0.25">
      <c r="A9" t="s">
        <v>28</v>
      </c>
      <c r="C9" s="24">
        <v>60</v>
      </c>
      <c r="F9" s="28"/>
      <c r="G9" s="26"/>
      <c r="H9" s="26"/>
      <c r="I9" s="26"/>
      <c r="J9" s="27"/>
      <c r="K9" s="30"/>
      <c r="L9" s="33"/>
      <c r="M9" s="27"/>
      <c r="N9" s="27"/>
      <c r="O9" s="27"/>
      <c r="P9" s="26"/>
      <c r="Q9" s="26"/>
    </row>
    <row r="10" spans="1:17" x14ac:dyDescent="0.25">
      <c r="F10" s="28"/>
      <c r="G10" s="26"/>
      <c r="H10" s="26"/>
      <c r="I10" s="26"/>
      <c r="J10" s="27"/>
      <c r="K10" s="30"/>
      <c r="L10" s="33"/>
      <c r="M10" s="27"/>
      <c r="N10" s="27"/>
      <c r="O10" s="27"/>
      <c r="P10" s="26"/>
      <c r="Q10" s="26"/>
    </row>
    <row r="11" spans="1:17" s="7" customFormat="1" ht="15.75" x14ac:dyDescent="0.25">
      <c r="A11" s="7" t="s">
        <v>18</v>
      </c>
      <c r="B11" s="4"/>
      <c r="C11" s="7" t="s">
        <v>31</v>
      </c>
      <c r="D11" s="8"/>
      <c r="E11" s="15"/>
      <c r="I11" s="7" t="s">
        <v>15</v>
      </c>
      <c r="J11" s="10"/>
      <c r="K11" s="10"/>
      <c r="L11" s="37" t="s">
        <v>44</v>
      </c>
      <c r="M11" s="10"/>
      <c r="N11" s="10"/>
      <c r="O11" s="10"/>
    </row>
    <row r="12" spans="1:17" x14ac:dyDescent="0.25">
      <c r="A12" t="s">
        <v>8</v>
      </c>
      <c r="B12" s="4" t="s">
        <v>0</v>
      </c>
      <c r="C12" s="3">
        <f>ROUNDUP(J12,0)</f>
        <v>2</v>
      </c>
      <c r="D12" s="2" t="str">
        <f>IF(C5&gt;1,"X","")</f>
        <v>X</v>
      </c>
      <c r="E12" s="14">
        <f>C5</f>
        <v>2</v>
      </c>
      <c r="F12" s="4" t="s">
        <v>1</v>
      </c>
      <c r="G12">
        <f>C4</f>
        <v>1000</v>
      </c>
      <c r="H12" s="5" t="s">
        <v>19</v>
      </c>
      <c r="I12" s="1" t="s">
        <v>30</v>
      </c>
      <c r="J12" s="11">
        <f>IF(C5=1,C3/235,(C3/C5)/235)</f>
        <v>1.2765957446808511</v>
      </c>
      <c r="K12" s="31">
        <f>C12*E12</f>
        <v>4</v>
      </c>
      <c r="L12" s="34">
        <f>((G12/1000)*9.18)*K12</f>
        <v>36.72</v>
      </c>
    </row>
    <row r="13" spans="1:17" x14ac:dyDescent="0.25">
      <c r="A13" t="s">
        <v>7</v>
      </c>
      <c r="B13" s="4" t="s">
        <v>1</v>
      </c>
      <c r="C13" s="3">
        <f>(C5*2)-1</f>
        <v>3</v>
      </c>
      <c r="D13" s="2">
        <f>C4+50</f>
        <v>1050</v>
      </c>
      <c r="E13" s="14" t="s">
        <v>21</v>
      </c>
      <c r="F13" s="5" t="s">
        <v>19</v>
      </c>
      <c r="I13" s="1" t="s">
        <v>30</v>
      </c>
      <c r="K13" s="31"/>
      <c r="L13" s="34">
        <f>(C13*(D13/1000))*2.58</f>
        <v>8.1270000000000007</v>
      </c>
    </row>
    <row r="14" spans="1:17" x14ac:dyDescent="0.25">
      <c r="A14" t="s">
        <v>7</v>
      </c>
      <c r="B14" s="4" t="s">
        <v>0</v>
      </c>
      <c r="C14" s="3">
        <f>C5*2</f>
        <v>4</v>
      </c>
      <c r="D14" s="2">
        <f>(C3/C5)+50</f>
        <v>350</v>
      </c>
      <c r="E14" s="14" t="s">
        <v>21</v>
      </c>
      <c r="F14" s="5" t="s">
        <v>19</v>
      </c>
      <c r="I14" s="1" t="s">
        <v>30</v>
      </c>
      <c r="K14" s="31"/>
      <c r="L14" s="34">
        <f>(C14*(D14/1000))*2.58</f>
        <v>3.6119999999999997</v>
      </c>
    </row>
    <row r="15" spans="1:17" x14ac:dyDescent="0.25">
      <c r="A15" t="s">
        <v>45</v>
      </c>
      <c r="B15" s="4" t="s">
        <v>1</v>
      </c>
      <c r="C15" s="3">
        <f>IF(C5&gt;1,C5-1,0)</f>
        <v>1</v>
      </c>
      <c r="D15" s="2">
        <f>IF(C15&gt;0,C4," ")</f>
        <v>1000</v>
      </c>
      <c r="E15" s="14" t="s">
        <v>21</v>
      </c>
      <c r="F15" s="5" t="s">
        <v>19</v>
      </c>
      <c r="I15" s="1" t="s">
        <v>32</v>
      </c>
      <c r="K15" s="31"/>
      <c r="L15" s="34">
        <f>IF(C15&gt;0,(C15*(D15/1000))*7.19,0)</f>
        <v>7.19</v>
      </c>
    </row>
    <row r="16" spans="1:17" x14ac:dyDescent="0.25">
      <c r="C16" s="3"/>
      <c r="K16" s="31"/>
      <c r="L16" s="34"/>
    </row>
    <row r="17" spans="1:15" s="7" customFormat="1" ht="15.75" x14ac:dyDescent="0.25">
      <c r="A17" s="7" t="s">
        <v>14</v>
      </c>
      <c r="B17" s="4"/>
      <c r="C17" s="9"/>
      <c r="D17" s="8"/>
      <c r="E17" s="15"/>
      <c r="J17" s="10"/>
      <c r="K17" s="29"/>
      <c r="L17" s="35"/>
      <c r="M17" s="10"/>
      <c r="N17" s="10"/>
      <c r="O17" s="10"/>
    </row>
    <row r="18" spans="1:15" x14ac:dyDescent="0.25">
      <c r="A18" t="s">
        <v>17</v>
      </c>
      <c r="C18" s="3"/>
      <c r="I18" t="str">
        <f>IF(C6="standard",HYPERLINK("http://www.volet-system.com/art-accessoires-pour-espagnolette-standard-2904.htm?utm_source=doc&amp;utm_medium=excel&amp;utm_campaign=battantkit"),HYPERLINK("http://www.volet-system.com/art-accessoires-pour-espagnolette-romantique-2942.htm?utm_source=doc&amp;utm_medium=excel&amp;utm_campaign=battantkit"))</f>
        <v>http://www.volet-system.com/art-accessoires-pour-espagnolette-standard-2904.htm?utm_source=doc&amp;utm_medium=excel&amp;utm_campaign=battantkit</v>
      </c>
      <c r="K18" s="31"/>
      <c r="L18" s="34">
        <v>20.420000000000002</v>
      </c>
    </row>
    <row r="19" spans="1:15" x14ac:dyDescent="0.25">
      <c r="A19" t="s">
        <v>52</v>
      </c>
      <c r="B19" s="4" t="s">
        <v>1</v>
      </c>
      <c r="C19">
        <v>1</v>
      </c>
      <c r="D19" s="3">
        <f>IF(C4&gt;1600,IF(C4&gt;2400,(IF(C4&gt;3200,4800,3200)),2400),1600)</f>
        <v>1600</v>
      </c>
      <c r="E19" s="16" t="s">
        <v>21</v>
      </c>
      <c r="I19" s="1" t="s">
        <v>35</v>
      </c>
      <c r="K19" s="31"/>
      <c r="L19" s="34">
        <v>25.16</v>
      </c>
    </row>
    <row r="20" spans="1:15" x14ac:dyDescent="0.25">
      <c r="A20" t="s">
        <v>53</v>
      </c>
      <c r="C20" s="3">
        <f>IF(D19&gt;3200,6,4)</f>
        <v>4</v>
      </c>
      <c r="I20" s="1" t="s">
        <v>36</v>
      </c>
      <c r="K20" s="31"/>
      <c r="L20" s="34">
        <f>(C20*1.9)</f>
        <v>7.6</v>
      </c>
    </row>
    <row r="21" spans="1:15" x14ac:dyDescent="0.25">
      <c r="A21" t="s">
        <v>51</v>
      </c>
      <c r="C21" s="3">
        <f>C20*2</f>
        <v>8</v>
      </c>
      <c r="I21" s="1" t="s">
        <v>37</v>
      </c>
      <c r="K21" s="31"/>
      <c r="L21" s="34">
        <f>(C21*0.6)</f>
        <v>4.8</v>
      </c>
    </row>
    <row r="22" spans="1:15" x14ac:dyDescent="0.25">
      <c r="C22" s="3"/>
      <c r="K22" s="31"/>
      <c r="L22" s="34"/>
    </row>
    <row r="23" spans="1:15" s="7" customFormat="1" ht="15.75" x14ac:dyDescent="0.25">
      <c r="A23" s="7" t="str">
        <f>IF(COUNTIF(C7,"*barre*"),"Montage Barre echarpe","")</f>
        <v>Montage Barre echarpe</v>
      </c>
      <c r="B23" s="4"/>
      <c r="C23" s="9"/>
      <c r="D23" s="8"/>
      <c r="E23" s="15"/>
      <c r="J23" s="10"/>
      <c r="K23" s="29"/>
      <c r="L23" s="35"/>
      <c r="M23" s="10"/>
      <c r="N23" s="10"/>
      <c r="O23" s="10"/>
    </row>
    <row r="24" spans="1:15" s="5" customFormat="1" x14ac:dyDescent="0.25">
      <c r="A24" s="5" t="s">
        <v>20</v>
      </c>
      <c r="B24" s="4" t="s">
        <v>0</v>
      </c>
      <c r="C24" s="5">
        <f>2*C5</f>
        <v>4</v>
      </c>
      <c r="D24" s="12">
        <f>C3</f>
        <v>600</v>
      </c>
      <c r="E24" s="17" t="s">
        <v>21</v>
      </c>
      <c r="F24" s="4"/>
      <c r="I24" s="1" t="s">
        <v>33</v>
      </c>
      <c r="J24" s="11"/>
      <c r="K24" s="31"/>
      <c r="L24" s="34">
        <f>(C24*(D24/1000))*8.81</f>
        <v>21.144000000000002</v>
      </c>
      <c r="M24" s="11"/>
      <c r="N24" s="11"/>
      <c r="O24" s="11"/>
    </row>
    <row r="25" spans="1:15" s="5" customFormat="1" x14ac:dyDescent="0.25">
      <c r="A25" s="5" t="s">
        <v>22</v>
      </c>
      <c r="B25" s="4"/>
      <c r="C25" s="12">
        <f>C5</f>
        <v>2</v>
      </c>
      <c r="D25" s="13">
        <f>C4</f>
        <v>1000</v>
      </c>
      <c r="E25" s="18" t="s">
        <v>21</v>
      </c>
      <c r="F25" s="4"/>
      <c r="I25" s="1" t="s">
        <v>34</v>
      </c>
      <c r="J25" s="11"/>
      <c r="K25" s="31"/>
      <c r="L25" s="34">
        <f>(C25*(D25/1000))*5.68</f>
        <v>11.36</v>
      </c>
      <c r="M25" s="11"/>
      <c r="N25" s="11"/>
      <c r="O25" s="11"/>
    </row>
    <row r="26" spans="1:15" x14ac:dyDescent="0.25">
      <c r="A26" s="5" t="s">
        <v>46</v>
      </c>
      <c r="B26" s="4" t="s">
        <v>48</v>
      </c>
      <c r="C26" s="3">
        <f>C24</f>
        <v>4</v>
      </c>
      <c r="D26" s="2">
        <f>D25-35</f>
        <v>965</v>
      </c>
      <c r="E26" s="14" t="s">
        <v>21</v>
      </c>
      <c r="I26" t="str">
        <f>IF(C8="Blanc",HYPERLINK("http://www.volet-system.com/art-contre-penture-droite-aluminium-blanche-2907.htm?utm_source=doc&amp;utm_medium=excel&amp;utm_campaign=battantkit"),HYPERLINK("http://www.volet-system.com/art-contre-penture-droite-aluminium-noir-2906.htm?utm_source=doc&amp;utm_medium=excel&amp;utm_campaign=battantkit"))</f>
        <v>http://www.volet-system.com/art-contre-penture-droite-aluminium-blanche-2907.htm?utm_source=doc&amp;utm_medium=excel&amp;utm_campaign=battantkit</v>
      </c>
      <c r="K26" s="31"/>
      <c r="L26" s="34">
        <f>(C26*6.85)</f>
        <v>27.4</v>
      </c>
    </row>
    <row r="27" spans="1:15" x14ac:dyDescent="0.25">
      <c r="A27" s="5" t="s">
        <v>47</v>
      </c>
      <c r="C27" s="3">
        <f>(IF(D32=196,2,(IF(D32=312,3,IF(D32=428,4,IF(D32=544,5,6))))))*C32</f>
        <v>12</v>
      </c>
      <c r="I27" t="str">
        <f>IF(C8="Blanc",HYPERLINK("http://www.volet-system.com/art-visses-trcc-aluminium-pour-assemblage-de-volet-battant-2911.htm?utm_source=doc&amp;utm_medium=excel&amp;utm_campaign=battantkit"),HYPERLINK("http://www.volet-system.com/art-visses-trcc-aluminium-pour-assemblage-de-volet-battant-2910.htm?utm_source=doc&amp;utm_medium=excel&amp;utm_campaign=battantkit"))</f>
        <v>http://www.volet-system.com/art-visses-trcc-aluminium-pour-assemblage-de-volet-battant-2911.htm?utm_source=doc&amp;utm_medium=excel&amp;utm_campaign=battantkit</v>
      </c>
      <c r="K27" s="31"/>
      <c r="L27" s="34">
        <f>(C27*1.02)</f>
        <v>12.24</v>
      </c>
    </row>
    <row r="28" spans="1:15" x14ac:dyDescent="0.25">
      <c r="A28" s="5" t="s">
        <v>29</v>
      </c>
      <c r="C28" s="3">
        <f>C27</f>
        <v>12</v>
      </c>
      <c r="I28" s="1" t="s">
        <v>38</v>
      </c>
      <c r="K28" s="31"/>
      <c r="L28" s="34">
        <f>(C28*0.66)</f>
        <v>7.92</v>
      </c>
    </row>
    <row r="29" spans="1:15" s="5" customFormat="1" x14ac:dyDescent="0.25">
      <c r="B29" s="4"/>
      <c r="C29" s="12"/>
      <c r="D29" s="13"/>
      <c r="E29" s="18"/>
      <c r="F29" s="4"/>
      <c r="I29" s="1"/>
      <c r="J29" s="11"/>
      <c r="K29" s="31"/>
      <c r="L29" s="34"/>
      <c r="M29" s="11"/>
      <c r="N29" s="11"/>
      <c r="O29" s="11"/>
    </row>
    <row r="30" spans="1:15" s="38" customFormat="1" ht="15.75" x14ac:dyDescent="0.25">
      <c r="B30" s="7"/>
      <c r="C30" s="39"/>
      <c r="D30" s="40"/>
      <c r="E30" s="41"/>
      <c r="F30" s="7"/>
      <c r="I30" s="40" t="s">
        <v>41</v>
      </c>
      <c r="J30" s="42"/>
      <c r="K30" s="29"/>
      <c r="L30" s="35">
        <f>SUM(L12:L28)</f>
        <v>193.69299999999998</v>
      </c>
      <c r="M30" s="42"/>
      <c r="N30" s="42"/>
      <c r="O30" s="42"/>
    </row>
    <row r="31" spans="1:15" s="7" customFormat="1" ht="15.75" x14ac:dyDescent="0.25">
      <c r="A31" s="7" t="s">
        <v>39</v>
      </c>
      <c r="B31" s="4"/>
      <c r="C31" s="9"/>
      <c r="D31" s="8"/>
      <c r="E31" s="15"/>
      <c r="J31" s="10"/>
      <c r="K31" s="29"/>
      <c r="L31" s="35"/>
      <c r="M31" s="10"/>
      <c r="N31" s="10"/>
      <c r="O31" s="10"/>
    </row>
    <row r="32" spans="1:15" x14ac:dyDescent="0.25">
      <c r="A32" s="5" t="s">
        <v>49</v>
      </c>
      <c r="B32" s="4" t="s">
        <v>0</v>
      </c>
      <c r="C32" s="3">
        <f>C14</f>
        <v>4</v>
      </c>
      <c r="D32" s="2">
        <f>IF(D14/C5&gt;196-66,IF(D14/C5&gt;312-66,(IF(D14/C5&gt;428-66,IF(D14/C5&gt;544-66,660,544),428)),312),196)</f>
        <v>312</v>
      </c>
      <c r="E32" s="14" t="s">
        <v>21</v>
      </c>
      <c r="I32" t="str">
        <f>IF(C8="Blanc",HYPERLINK("http://www.volet-system.com/art-penture-droite-deport-19-x-60-aluminium-blanche-2898.htm?utm_source=doc&amp;utm_medium=excel&amp;utm_campaign=battantkit"),HYPERLINK("http://www.volet-system.com/art-penture-droite-deport-19-x-60-aluminium-noir-2897.htm?utm_source=doc&amp;utm_medium=excel&amp;utm_campaign=battantkit"))</f>
        <v>http://www.volet-system.com/art-penture-droite-deport-19-x-60-aluminium-blanche-2898.htm?utm_source=doc&amp;utm_medium=excel&amp;utm_campaign=battantkit</v>
      </c>
      <c r="K32" s="31"/>
      <c r="L32" s="34">
        <f>(C32*14.77)</f>
        <v>59.08</v>
      </c>
    </row>
    <row r="33" spans="1:15" x14ac:dyDescent="0.25">
      <c r="A33" s="5" t="s">
        <v>50</v>
      </c>
      <c r="B33" s="4" t="s">
        <v>0</v>
      </c>
      <c r="C33" s="3">
        <f>C32</f>
        <v>4</v>
      </c>
      <c r="D33" s="2">
        <f>D32-35</f>
        <v>277</v>
      </c>
      <c r="E33" s="14" t="s">
        <v>21</v>
      </c>
      <c r="I33" t="str">
        <f>IF(C8="Blanc",HYPERLINK("http://www.volet-system.com/art-contre-penture-droite-aluminium-blanche-2907.htm?utm_source=doc&amp;utm_medium=excel&amp;utm_campaign=battantkit"),HYPERLINK("http://www.volet-system.com/art-contre-penture-droite-aluminium-noir-2906.htm?utm_source=doc&amp;utm_medium=excel&amp;utm_campaign=battantkit"))</f>
        <v>http://www.volet-system.com/art-contre-penture-droite-aluminium-blanche-2907.htm?utm_source=doc&amp;utm_medium=excel&amp;utm_campaign=battantkit</v>
      </c>
      <c r="K33" s="31"/>
      <c r="L33" s="34">
        <f>(C33*6.85)</f>
        <v>27.4</v>
      </c>
    </row>
    <row r="34" spans="1:15" x14ac:dyDescent="0.25">
      <c r="A34" s="5" t="s">
        <v>47</v>
      </c>
      <c r="C34" s="3">
        <f>(IF(D32=196,2,(IF(D32=312,3,IF(D32=428,4,IF(D32=544,5,6))))))*C32</f>
        <v>12</v>
      </c>
      <c r="I34" t="str">
        <f>IF(C8="Blanc",HYPERLINK("http://www.volet-system.com/art-visses-trcc-aluminium-pour-assemblage-de-volet-battant-2911.htm?utm_source=doc&amp;utm_medium=excel&amp;utm_campaign=battantkit"),HYPERLINK("http://www.volet-system.com/art-visses-trcc-aluminium-pour-assemblage-de-volet-battant-2910.htm?utm_source=doc&amp;utm_medium=excel&amp;utm_campaign=battantkit"))</f>
        <v>http://www.volet-system.com/art-visses-trcc-aluminium-pour-assemblage-de-volet-battant-2911.htm?utm_source=doc&amp;utm_medium=excel&amp;utm_campaign=battantkit</v>
      </c>
      <c r="K34" s="31"/>
      <c r="L34" s="34">
        <f>(C34*1.02)</f>
        <v>12.24</v>
      </c>
    </row>
    <row r="35" spans="1:15" x14ac:dyDescent="0.25">
      <c r="A35" s="5" t="s">
        <v>29</v>
      </c>
      <c r="C35" s="3">
        <f>C34</f>
        <v>12</v>
      </c>
      <c r="I35" s="1" t="s">
        <v>38</v>
      </c>
      <c r="K35" s="31"/>
      <c r="L35" s="34">
        <f>(C35*0.66)</f>
        <v>7.92</v>
      </c>
    </row>
    <row r="36" spans="1:15" x14ac:dyDescent="0.25">
      <c r="A36" s="5"/>
      <c r="C36" s="3"/>
      <c r="I36" s="1"/>
      <c r="K36" s="31"/>
      <c r="L36" s="34"/>
    </row>
    <row r="37" spans="1:15" s="38" customFormat="1" ht="15.75" x14ac:dyDescent="0.25">
      <c r="B37" s="7"/>
      <c r="C37" s="39"/>
      <c r="D37" s="40"/>
      <c r="E37" s="41"/>
      <c r="F37" s="7"/>
      <c r="I37" s="40" t="s">
        <v>42</v>
      </c>
      <c r="J37" s="42"/>
      <c r="K37" s="29"/>
      <c r="L37" s="35">
        <f>SUM(L12:L21)+SUM(L32:L35)</f>
        <v>220.26899999999998</v>
      </c>
      <c r="M37" s="42"/>
      <c r="N37" s="42"/>
      <c r="O37" s="42"/>
    </row>
    <row r="38" spans="1:15" s="7" customFormat="1" ht="15.75" x14ac:dyDescent="0.25">
      <c r="A38" s="7" t="s">
        <v>40</v>
      </c>
      <c r="B38" s="4"/>
      <c r="C38" s="9"/>
      <c r="D38" s="8"/>
      <c r="E38" s="15"/>
      <c r="J38" s="10"/>
      <c r="K38" s="29"/>
      <c r="L38" s="35"/>
      <c r="M38" s="10"/>
      <c r="N38" s="10"/>
      <c r="O38" s="10"/>
    </row>
    <row r="39" spans="1:15" x14ac:dyDescent="0.25">
      <c r="A39" s="5" t="s">
        <v>23</v>
      </c>
      <c r="B39" s="4" t="s">
        <v>0</v>
      </c>
      <c r="C39" s="3">
        <f>C20</f>
        <v>4</v>
      </c>
      <c r="D39" s="2">
        <f>IF(D14/C5&gt;196-66,IF(D14/C5&gt;312-66,(IF(D14/C5&gt;428-66,IF(D14/C5&gt;544-66,660,544),428)),312),196)</f>
        <v>312</v>
      </c>
      <c r="E39" s="14" t="s">
        <v>21</v>
      </c>
      <c r="I39" t="str">
        <f>IF(C14="Blanc",HYPERLINK("http://www.volet-system.com/art-penture-droite-deport-19-x-80-aluminium-blanche-2900.htm?utm_source=doc&amp;utm_medium=excel&amp;utm_campaign=battantkit"),HYPERLINK("http://www.volet-system.com/art-penture-droite-deport-19-x-80-aluminium-noir-2899.htm?utm_source=doc&amp;utm_medium=excel&amp;utm_campaign=battantkit?utm_source=doc&amp;utm_medium=excel&amp;utm_campaign=battantkit"))</f>
        <v>http://www.volet-system.com/art-penture-droite-deport-19-x-80-aluminium-noir-2899.htm?utm_source=doc&amp;utm_medium=excel&amp;utm_campaign=battantkit?utm_source=doc&amp;utm_medium=excel&amp;utm_campaign=battantkit</v>
      </c>
      <c r="K39" s="31"/>
      <c r="L39" s="34">
        <f>(C39*15.1)</f>
        <v>60.4</v>
      </c>
    </row>
    <row r="40" spans="1:15" x14ac:dyDescent="0.25">
      <c r="A40" s="5" t="s">
        <v>24</v>
      </c>
      <c r="B40" s="4" t="s">
        <v>0</v>
      </c>
      <c r="C40" s="3">
        <f>C39</f>
        <v>4</v>
      </c>
      <c r="D40" s="2">
        <f>D39-35</f>
        <v>277</v>
      </c>
      <c r="E40" s="14" t="s">
        <v>21</v>
      </c>
      <c r="I40" t="str">
        <f>IF(C14="Blanc",HYPERLINK("http://www.volet-system.com/art-contre-penture-droite-aluminium-blanche-2907.htm?utm_source=doc&amp;utm_medium=excel&amp;utm_campaign=battantkit"),HYPERLINK("http://www.volet-system.com/art-contre-penture-droite-aluminium-noir-2906.htm?utm_source=doc&amp;utm_medium=excel&amp;utm_campaign=battantkit"))</f>
        <v>http://www.volet-system.com/art-contre-penture-droite-aluminium-noir-2906.htm?utm_source=doc&amp;utm_medium=excel&amp;utm_campaign=battantkit</v>
      </c>
      <c r="K40" s="31"/>
      <c r="L40" s="34">
        <f>(C40*6.85)</f>
        <v>27.4</v>
      </c>
    </row>
    <row r="41" spans="1:15" x14ac:dyDescent="0.25">
      <c r="A41" s="5" t="s">
        <v>47</v>
      </c>
      <c r="C41" s="3">
        <f>(IF(D39=196,2,(IF(D39=312,3,IF(D39=428,4,IF(D39=544,5,6))))))*C39</f>
        <v>12</v>
      </c>
      <c r="I41" t="str">
        <f>IF(C14="Blanc",HYPERLINK("http://www.volet-system.com/art-visses-trcc-aluminium-pour-assemblage-de-volet-battant-2911.htm?utm_source=doc&amp;utm_medium=excel&amp;utm_campaign=battantkit"),HYPERLINK("http://www.volet-system.com/art-visses-trcc-aluminium-pour-assemblage-de-volet-battant-2910.htm?utm_source=doc&amp;utm_medium=excel&amp;utm_campaign=battantkit"))</f>
        <v>http://www.volet-system.com/art-visses-trcc-aluminium-pour-assemblage-de-volet-battant-2910.htm?utm_source=doc&amp;utm_medium=excel&amp;utm_campaign=battantkit</v>
      </c>
      <c r="K41" s="31"/>
      <c r="L41" s="34">
        <f>(C41*1.02)</f>
        <v>12.24</v>
      </c>
    </row>
    <row r="42" spans="1:15" x14ac:dyDescent="0.25">
      <c r="A42" s="5" t="s">
        <v>29</v>
      </c>
      <c r="C42" s="3">
        <f>C41</f>
        <v>12</v>
      </c>
      <c r="I42" s="1" t="s">
        <v>38</v>
      </c>
      <c r="K42" s="31"/>
      <c r="L42" s="34">
        <f>(C42*0.66)</f>
        <v>7.92</v>
      </c>
    </row>
    <row r="43" spans="1:15" x14ac:dyDescent="0.25">
      <c r="K43" s="31"/>
      <c r="L43" s="43"/>
    </row>
    <row r="44" spans="1:15" s="38" customFormat="1" ht="15.75" x14ac:dyDescent="0.25">
      <c r="B44" s="7"/>
      <c r="D44" s="40"/>
      <c r="E44" s="41"/>
      <c r="F44" s="7"/>
      <c r="I44" s="40" t="s">
        <v>43</v>
      </c>
      <c r="J44" s="42"/>
      <c r="K44" s="29"/>
      <c r="L44" s="35">
        <f>SUM(L12:L21)+SUM(L39:L42)</f>
        <v>221.589</v>
      </c>
      <c r="M44" s="42"/>
      <c r="N44" s="42"/>
      <c r="O44" s="42"/>
    </row>
  </sheetData>
  <sheetProtection pivotTables="0"/>
  <conditionalFormatting sqref="A23:XFD23 A32:A33 A30:XFD30 M29:XFD29 A29:K29 A24:K25 M24:XFD25 A36">
    <cfRule type="expression" dxfId="6" priority="7">
      <formula>"NB.SI(C7;""*barre*"")"</formula>
    </cfRule>
  </conditionalFormatting>
  <conditionalFormatting sqref="A39:A40">
    <cfRule type="expression" dxfId="5" priority="6">
      <formula>"NB.SI(C7;""*barre*"")"</formula>
    </cfRule>
  </conditionalFormatting>
  <conditionalFormatting sqref="I37">
    <cfRule type="expression" dxfId="4" priority="5">
      <formula>"NB.SI(C7;""*barre*"")"</formula>
    </cfRule>
  </conditionalFormatting>
  <conditionalFormatting sqref="A26:A28">
    <cfRule type="expression" dxfId="3" priority="4">
      <formula>"NB.SI(C7;""*barre*"")"</formula>
    </cfRule>
  </conditionalFormatting>
  <conditionalFormatting sqref="I44">
    <cfRule type="expression" dxfId="2" priority="3">
      <formula>"NB.SI(C7;""*barre*"")"</formula>
    </cfRule>
  </conditionalFormatting>
  <conditionalFormatting sqref="A34:A35">
    <cfRule type="expression" dxfId="1" priority="2">
      <formula>"NB.SI(C7;""*barre*"")"</formula>
    </cfRule>
  </conditionalFormatting>
  <conditionalFormatting sqref="A41:A42">
    <cfRule type="expression" dxfId="0" priority="1">
      <formula>"NB.SI(C7;""*barre*"")"</formula>
    </cfRule>
  </conditionalFormatting>
  <dataValidations count="6">
    <dataValidation type="list" allowBlank="1" showInputMessage="1" showErrorMessage="1" promptTitle="Modèle de volet" prompt="Quel Modèle soushaitez vous ?_x000a_" sqref="K5:K6 C7" xr:uid="{00000000-0002-0000-0000-000000000000}">
      <formula1>$K$5:$K$6</formula1>
    </dataValidation>
    <dataValidation type="list" allowBlank="1" showInputMessage="1" showErrorMessage="1" promptTitle="Modèle espagnolette" prompt="Quel modèle d'espagnolette soushaitez vous ?" sqref="L5:L6 C6" xr:uid="{00000000-0002-0000-0000-000001000000}">
      <formula1>$L$5:$L$6</formula1>
    </dataValidation>
    <dataValidation type="list" allowBlank="1" showInputMessage="1" showErrorMessage="1" promptTitle="Quincaillerie" prompt="Couleur Qincaillerie" sqref="M5:M6 C8" xr:uid="{00000000-0002-0000-0000-000002000000}">
      <formula1>$M$5:$M$6</formula1>
    </dataValidation>
    <dataValidation type="list" allowBlank="1" showInputMessage="1" showErrorMessage="1" sqref="J5:J10" xr:uid="{00000000-0002-0000-0000-000003000000}">
      <formula1>$J$5:$J$10</formula1>
    </dataValidation>
    <dataValidation type="list" allowBlank="1" showInputMessage="1" showErrorMessage="1" promptTitle="battants" prompt="1 à 2 battants" sqref="C5" xr:uid="{00000000-0002-0000-0000-000004000000}">
      <formula1>$J$5:$J$10</formula1>
    </dataValidation>
    <dataValidation type="list" allowBlank="1" showInputMessage="1" showErrorMessage="1" promptTitle="Déport" prompt="Déport de votre montage" sqref="N5:N6 C9" xr:uid="{00000000-0002-0000-0000-000005000000}">
      <formula1>$N$5:$N$6</formula1>
    </dataValidation>
  </dataValidations>
  <hyperlinks>
    <hyperlink ref="I14" r:id="rId1" xr:uid="{00000000-0004-0000-0000-000000000000}"/>
    <hyperlink ref="I12" r:id="rId2" xr:uid="{00000000-0004-0000-0000-000001000000}"/>
    <hyperlink ref="I13" r:id="rId3" xr:uid="{00000000-0004-0000-0000-000002000000}"/>
    <hyperlink ref="I24" r:id="rId4" xr:uid="{00000000-0004-0000-0000-000004000000}"/>
    <hyperlink ref="I15" r:id="rId5" xr:uid="{00000000-0004-0000-0000-000005000000}"/>
    <hyperlink ref="I25" r:id="rId6" xr:uid="{00000000-0004-0000-0000-000006000000}"/>
    <hyperlink ref="I19" r:id="rId7" xr:uid="{00000000-0004-0000-0000-000007000000}"/>
    <hyperlink ref="I20" r:id="rId8" xr:uid="{00000000-0004-0000-0000-000008000000}"/>
    <hyperlink ref="I21" r:id="rId9" xr:uid="{00000000-0004-0000-0000-000009000000}"/>
    <hyperlink ref="I35" r:id="rId10" xr:uid="{00000000-0004-0000-0000-00000A000000}"/>
    <hyperlink ref="I42" r:id="rId11" xr:uid="{00000000-0004-0000-0000-00000B000000}"/>
    <hyperlink ref="I28" r:id="rId12" xr:uid="{00000000-0004-0000-0000-00000C000000}"/>
  </hyperlinks>
  <pageMargins left="0.7" right="0.7" top="0.75" bottom="0.75" header="0.3" footer="0.3"/>
  <pageSetup paperSize="9" orientation="landscape" horizontalDpi="360" verticalDpi="360" r:id="rId13"/>
  <drawing r:id="rId14"/>
  <legacy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rollersa</dc:creator>
  <cp:lastModifiedBy>bretagnetv</cp:lastModifiedBy>
  <cp:lastPrinted>2014-06-18T14:34:03Z</cp:lastPrinted>
  <dcterms:created xsi:type="dcterms:W3CDTF">2013-10-15T13:09:15Z</dcterms:created>
  <dcterms:modified xsi:type="dcterms:W3CDTF">2021-09-22T15:13:46Z</dcterms:modified>
</cp:coreProperties>
</file>